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https://livereadingac-my.sharepoint.com/personal/sws05ajc_reading_ac_uk/Documents/carbon_budget/"/>
    </mc:Choice>
  </mc:AlternateContent>
  <xr:revisionPtr revIDLastSave="43" documentId="11_D708B18A274939BB2E0197686DE758E54C55BAB3" xr6:coauthVersionLast="47" xr6:coauthVersionMax="47" xr10:uidLastSave="{88F26A3E-2AE7-124D-B95B-43A2C75D62CC}"/>
  <bookViews>
    <workbookView xWindow="21280" yWindow="5940" windowWidth="21600" windowHeight="19240" activeTab="2" xr2:uid="{00000000-000D-0000-FFFF-FFFF00000000}"/>
  </bookViews>
  <sheets>
    <sheet name="Instructions" sheetId="3" r:id="rId1"/>
    <sheet name="Emission Factors" sheetId="1" r:id="rId2"/>
    <sheet name="Calculation Shee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" l="1"/>
  <c r="G22" i="2"/>
  <c r="H21" i="2"/>
  <c r="G21" i="2"/>
  <c r="H20" i="2"/>
  <c r="G20" i="2"/>
  <c r="H15" i="2"/>
  <c r="G15" i="2"/>
  <c r="H14" i="2"/>
  <c r="G14" i="2"/>
  <c r="H13" i="2"/>
  <c r="G13" i="2"/>
  <c r="H8" i="2"/>
  <c r="G8" i="2"/>
  <c r="H7" i="2"/>
  <c r="G7" i="2"/>
  <c r="H82" i="1" l="1"/>
  <c r="H81" i="1"/>
  <c r="AB5" i="1" s="1"/>
  <c r="H80" i="1"/>
  <c r="AB4" i="1" s="1"/>
  <c r="G19" i="2" s="1"/>
  <c r="H19" i="2" s="1"/>
  <c r="C82" i="1"/>
  <c r="G82" i="1" s="1"/>
  <c r="G81" i="1"/>
  <c r="AC5" i="1" s="1"/>
  <c r="G80" i="1"/>
  <c r="AC4" i="1" s="1"/>
  <c r="H68" i="1" l="1"/>
  <c r="X11" i="1" s="1"/>
  <c r="H74" i="1"/>
  <c r="X10" i="1" s="1"/>
  <c r="H30" i="1"/>
  <c r="X9" i="1" s="1"/>
  <c r="H18" i="1"/>
  <c r="X8" i="1" s="1"/>
  <c r="G5" i="2" s="1"/>
  <c r="H5" i="2" s="1"/>
  <c r="H11" i="1"/>
  <c r="X7" i="1"/>
  <c r="H5" i="1"/>
  <c r="X6" i="1"/>
  <c r="H62" i="1"/>
  <c r="X5" i="1" s="1"/>
  <c r="X4" i="1"/>
  <c r="G6" i="2" s="1"/>
  <c r="H6" i="2" s="1"/>
  <c r="U10" i="1"/>
  <c r="G74" i="1"/>
  <c r="Y10" i="1" s="1"/>
  <c r="G68" i="1"/>
  <c r="Y11" i="1" s="1"/>
  <c r="G62" i="1"/>
  <c r="Y5" i="1" s="1"/>
  <c r="F42" i="1"/>
  <c r="D42" i="1"/>
  <c r="G36" i="1"/>
  <c r="Y4" i="1" s="1"/>
  <c r="G30" i="1"/>
  <c r="Y9" i="1" s="1"/>
  <c r="K28" i="1"/>
  <c r="K26" i="1"/>
  <c r="P23" i="1"/>
  <c r="J23" i="1"/>
  <c r="O23" i="1" s="1"/>
  <c r="Q19" i="1"/>
  <c r="L19" i="1"/>
  <c r="M19" i="1" s="1"/>
  <c r="P18" i="1"/>
  <c r="L18" i="1"/>
  <c r="G18" i="1"/>
  <c r="Y8" i="1" s="1"/>
  <c r="Q17" i="1"/>
  <c r="M17" i="1"/>
  <c r="U6" i="1" s="1"/>
  <c r="Q16" i="1"/>
  <c r="M16" i="1"/>
  <c r="O15" i="1"/>
  <c r="Q15" i="1" s="1"/>
  <c r="J15" i="1"/>
  <c r="J14" i="1" s="1"/>
  <c r="M14" i="1" s="1"/>
  <c r="P14" i="1"/>
  <c r="K14" i="1"/>
  <c r="Q13" i="1"/>
  <c r="M13" i="1"/>
  <c r="Q12" i="1"/>
  <c r="M12" i="1"/>
  <c r="U8" i="1" s="1"/>
  <c r="O11" i="1"/>
  <c r="O18" i="1" s="1"/>
  <c r="K11" i="1"/>
  <c r="K18" i="1" s="1"/>
  <c r="J11" i="1"/>
  <c r="M11" i="1" s="1"/>
  <c r="G11" i="1"/>
  <c r="G12" i="1" s="1"/>
  <c r="P10" i="1"/>
  <c r="O10" i="1"/>
  <c r="Q10" i="1" s="1"/>
  <c r="J10" i="1"/>
  <c r="M10" i="1" s="1"/>
  <c r="Q9" i="1"/>
  <c r="M9" i="1"/>
  <c r="U4" i="1" s="1"/>
  <c r="Q8" i="1"/>
  <c r="M8" i="1"/>
  <c r="U7" i="1" s="1"/>
  <c r="Q7" i="1"/>
  <c r="M7" i="1"/>
  <c r="U5" i="1" s="1"/>
  <c r="Q6" i="1"/>
  <c r="M6" i="1"/>
  <c r="K6" i="1"/>
  <c r="Q5" i="1"/>
  <c r="M5" i="1"/>
  <c r="U9" i="1" s="1"/>
  <c r="G12" i="2" s="1"/>
  <c r="H12" i="2" s="1"/>
  <c r="G5" i="1"/>
  <c r="Y6" i="1" s="1"/>
  <c r="G42" i="1" l="1"/>
  <c r="Y7" i="1"/>
  <c r="Q11" i="1"/>
  <c r="Q18" i="1"/>
  <c r="O14" i="1"/>
  <c r="Q14" i="1" s="1"/>
  <c r="M15" i="1"/>
  <c r="J18" i="1"/>
  <c r="M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JB</author>
    <author>IT Department</author>
  </authors>
  <commentList>
    <comment ref="E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JB:</t>
        </r>
        <r>
          <rPr>
            <sz val="9"/>
            <color indexed="81"/>
            <rFont val="Tahoma"/>
            <family val="2"/>
          </rPr>
          <t xml:space="preserve">
UK Conversion Factors 2019
Average local bus</t>
        </r>
      </text>
    </comment>
    <comment ref="E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JB:</t>
        </r>
        <r>
          <rPr>
            <sz val="9"/>
            <color indexed="81"/>
            <rFont val="Tahoma"/>
            <family val="2"/>
          </rPr>
          <t xml:space="preserve">
UK Conversion Factors 2019
Coach</t>
        </r>
      </text>
    </comment>
    <comment ref="E1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JB:</t>
        </r>
        <r>
          <rPr>
            <sz val="9"/>
            <color indexed="81"/>
            <rFont val="Tahoma"/>
            <family val="2"/>
          </rPr>
          <t xml:space="preserve">
UK Conversion Factors 2019
National rail</t>
        </r>
      </text>
    </comment>
    <comment ref="K25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IT Department:</t>
        </r>
        <r>
          <rPr>
            <sz val="9"/>
            <color indexed="81"/>
            <rFont val="Tahoma"/>
            <family val="2"/>
          </rPr>
          <t xml:space="preserve">
8994 is distance using map distance website but previous year 9207 used as the distance</t>
        </r>
      </text>
    </comment>
    <comment ref="E2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JB:</t>
        </r>
        <r>
          <rPr>
            <sz val="9"/>
            <color indexed="81"/>
            <rFont val="Tahoma"/>
            <family val="2"/>
          </rPr>
          <t xml:space="preserve">
UK Conversion Factors 2019
International rail</t>
        </r>
      </text>
    </comment>
    <comment ref="E35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UK Conversion Factors 2019
Average car</t>
        </r>
      </text>
    </comment>
    <comment ref="F4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JB:</t>
        </r>
        <r>
          <rPr>
            <sz val="9"/>
            <color indexed="81"/>
            <rFont val="Tahoma"/>
            <family val="2"/>
          </rPr>
          <t xml:space="preserve">
UK Conversion Factors 2019
Average of Petrol and Diesel average biofuel blends</t>
        </r>
      </text>
    </comment>
    <comment ref="E6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JB:</t>
        </r>
        <r>
          <rPr>
            <sz val="9"/>
            <color indexed="81"/>
            <rFont val="Tahoma"/>
            <family val="2"/>
          </rPr>
          <t xml:space="preserve">
UK Conversion Factors 2019
Regular taxi</t>
        </r>
      </text>
    </comment>
    <comment ref="E67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JB:</t>
        </r>
        <r>
          <rPr>
            <sz val="9"/>
            <color indexed="81"/>
            <rFont val="Tahoma"/>
            <family val="2"/>
          </rPr>
          <t xml:space="preserve">
UK Conversion Factors 2019
light rail &amp; tram</t>
        </r>
      </text>
    </comment>
    <comment ref="E73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JB:</t>
        </r>
        <r>
          <rPr>
            <sz val="9"/>
            <color indexed="81"/>
            <rFont val="Tahoma"/>
            <family val="2"/>
          </rPr>
          <t xml:space="preserve">
UK Conversion Factors 2019
London Underground</t>
        </r>
      </text>
    </comment>
    <comment ref="C78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P&amp;O Ferries website Nov'19</t>
        </r>
      </text>
    </comment>
    <comment ref="E79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JB:</t>
        </r>
        <r>
          <rPr>
            <sz val="9"/>
            <color indexed="81"/>
            <rFont val="Tahoma"/>
            <family val="2"/>
          </rPr>
          <t xml:space="preserve">
UK Conversion Factors 2019
Business Travel - sea</t>
        </r>
      </text>
    </comment>
  </commentList>
</comments>
</file>

<file path=xl/sharedStrings.xml><?xml version="1.0" encoding="utf-8"?>
<sst xmlns="http://schemas.openxmlformats.org/spreadsheetml/2006/main" count="198" uniqueCount="122">
  <si>
    <t>Bus</t>
  </si>
  <si>
    <t>Flights (with Radiative forcing)</t>
  </si>
  <si>
    <t>Assume all bus journeys are equivalent to University-Reading station</t>
  </si>
  <si>
    <t>Cost</t>
  </si>
  <si>
    <t>Miles</t>
  </si>
  <si>
    <t>kgCO2e/km</t>
  </si>
  <si>
    <t>km/mile</t>
  </si>
  <si>
    <t xml:space="preserve">Assumed 
kgCO2e/£ </t>
  </si>
  <si>
    <t>Gray Dawes classification</t>
  </si>
  <si>
    <t>UK Emissions Factors kgCO2e/km</t>
  </si>
  <si>
    <t>UKEF 2019 category</t>
  </si>
  <si>
    <t>kgCO2e/mile</t>
  </si>
  <si>
    <t>With RF</t>
  </si>
  <si>
    <t>Without RF</t>
  </si>
  <si>
    <t>Without RF % of With RF</t>
  </si>
  <si>
    <t>INTERNATIONAL BUSINESS flight</t>
  </si>
  <si>
    <t>Long-haul Business class</t>
  </si>
  <si>
    <t xml:space="preserve"> BUSINESS flight</t>
  </si>
  <si>
    <t>EUROPE ECONOMY flight</t>
  </si>
  <si>
    <t>Short-haul economy</t>
  </si>
  <si>
    <t>Coach</t>
  </si>
  <si>
    <t>INTERNATIONAL ECONOMY flight</t>
  </si>
  <si>
    <t>Long-haul ecomony</t>
  </si>
  <si>
    <t>Assume all coach journeys are equivalent to Reading-Heathrow RailAir</t>
  </si>
  <si>
    <t>DOMESTIC ECONOMY flight</t>
  </si>
  <si>
    <t>Domestic</t>
  </si>
  <si>
    <t xml:space="preserve"> ECONOMY flight</t>
  </si>
  <si>
    <t>Average of others</t>
  </si>
  <si>
    <t>EUROPE STANDARD flight</t>
  </si>
  <si>
    <t>Railair</t>
  </si>
  <si>
    <t>INTERNATIONAL PREMIUM ECONOMY flight</t>
  </si>
  <si>
    <t>Long-haul premium economy</t>
  </si>
  <si>
    <t>FLIGHT</t>
  </si>
  <si>
    <t>Rail</t>
  </si>
  <si>
    <t>flight</t>
  </si>
  <si>
    <t>Extrapolate average of Gray Dawes journeys where both cost and mileage is known</t>
  </si>
  <si>
    <t>INTERNATIONAL FIRST flight</t>
  </si>
  <si>
    <t>Long-haul first class</t>
  </si>
  <si>
    <t>EUROPE BUSINESS flight</t>
  </si>
  <si>
    <t>Short-haul business</t>
  </si>
  <si>
    <t xml:space="preserve"> STANDARD flight</t>
  </si>
  <si>
    <t>Eurostar</t>
  </si>
  <si>
    <t>International Rail</t>
  </si>
  <si>
    <t>Car hire</t>
  </si>
  <si>
    <t>Assume no Carbon footprint associated with hire, fuel purchased separately</t>
  </si>
  <si>
    <t>Average CO2 per flight (where a journey is known to be a flight but does not have class &amp; mileage info)</t>
  </si>
  <si>
    <t>(approx equivalent to economy flight heathrow-mumbai-heathrow 9207 miles)</t>
  </si>
  <si>
    <t>car hire</t>
  </si>
  <si>
    <t>miles</t>
  </si>
  <si>
    <t>with RF</t>
  </si>
  <si>
    <t>CO2</t>
  </si>
  <si>
    <t>Extrapolate average price for journey, assume distance of St Pancras to Gare du Nord</t>
  </si>
  <si>
    <t>without RF</t>
  </si>
  <si>
    <t>km</t>
  </si>
  <si>
    <t>Mileage expenses</t>
  </si>
  <si>
    <t>University policy</t>
  </si>
  <si>
    <t>mile</t>
  </si>
  <si>
    <t>Petrol costs</t>
  </si>
  <si>
    <t>Use AA published cost per litre</t>
  </si>
  <si>
    <t>Cost per litre</t>
  </si>
  <si>
    <t>kgCO2e/litre</t>
  </si>
  <si>
    <t>petrol costs</t>
  </si>
  <si>
    <t>http://www.theaa.com/motoring_advice/fuel/</t>
  </si>
  <si>
    <t>Unleaded 95 Octane (pence)</t>
  </si>
  <si>
    <t>Diesel (pence)</t>
  </si>
  <si>
    <t>Super Unleaded (pence)</t>
  </si>
  <si>
    <t>taxi</t>
  </si>
  <si>
    <t>Modal journey cost ~ £20, assume this could get you from Reading to Newbury</t>
  </si>
  <si>
    <t>tram</t>
  </si>
  <si>
    <t>assume single journey edinburgh airport to centre</t>
  </si>
  <si>
    <t>underground</t>
  </si>
  <si>
    <t>assume single journey Paddington to Kings Cross</t>
  </si>
  <si>
    <t>LAND TRAVEL</t>
  </si>
  <si>
    <t>AIR TRAVEL</t>
  </si>
  <si>
    <t>SEA TRAVEL</t>
  </si>
  <si>
    <t>Car</t>
  </si>
  <si>
    <t>Mode</t>
  </si>
  <si>
    <t>Starting Location</t>
  </si>
  <si>
    <t>Destination</t>
  </si>
  <si>
    <t>Europe Economy</t>
  </si>
  <si>
    <t>Europe Business</t>
  </si>
  <si>
    <t>International Economy</t>
  </si>
  <si>
    <t>International Premium Economy</t>
  </si>
  <si>
    <t>International Business Class</t>
  </si>
  <si>
    <t>International First Class</t>
  </si>
  <si>
    <t>Flights (with RF)</t>
  </si>
  <si>
    <t>https://www.distance.to</t>
  </si>
  <si>
    <t>UK Emissions Factors kgCO2e/mile</t>
  </si>
  <si>
    <t>Emission Factor (kg CO2e/mile)</t>
  </si>
  <si>
    <t>Land Travel</t>
  </si>
  <si>
    <t>Taxi</t>
  </si>
  <si>
    <t>Underground</t>
  </si>
  <si>
    <t>Tram</t>
  </si>
  <si>
    <t>Emission factor kgCO2e/£</t>
  </si>
  <si>
    <t>sea</t>
  </si>
  <si>
    <t>assume single journey Dover to Calais</t>
  </si>
  <si>
    <t>ferry -foot passenger</t>
  </si>
  <si>
    <t>ferry - car passenger</t>
  </si>
  <si>
    <t>ferry - average (all passenger)</t>
  </si>
  <si>
    <t>Ferry - foot passenger</t>
  </si>
  <si>
    <t>Sea Travel</t>
  </si>
  <si>
    <t>Ferry - car passenger</t>
  </si>
  <si>
    <t>CARBON EMISSIONS COMPARISON FOR TRAVEL OPTIONS</t>
  </si>
  <si>
    <t>Total Emissions (kg CO2e)</t>
  </si>
  <si>
    <t>Total Mileage</t>
  </si>
  <si>
    <t>Instructions for Using the Calculation Sheet.</t>
  </si>
  <si>
    <t>The Calculation Sheet is designed to allow calculation of carbon emissions from individual trips and to compare the emissions from different options.</t>
  </si>
  <si>
    <t>The emission factors used are those published by the UK Department for Business, Environment and Industrial Strategy - 2019 values.</t>
  </si>
  <si>
    <t xml:space="preserve">https://www.gov.uk/government/publications/greenhouse-gas-reporting-conversion-factors-2019 </t>
  </si>
  <si>
    <t>To calculate the carbon emissions from a journey, you need to know or determine the distance you will travel. If you don't know this value, you can</t>
  </si>
  <si>
    <t>Make a comparison by choosing another travel method from the row below, again ensuring you have the distance value in Column F of the same row.</t>
  </si>
  <si>
    <t>The carbon emissions for the options you are assessing appear in Column I.</t>
  </si>
  <si>
    <t>Information:</t>
  </si>
  <si>
    <t>find it using the following website:</t>
  </si>
  <si>
    <t>(link is on the Calculation Sheet as well)</t>
  </si>
  <si>
    <t>a) enter the starting and destination locations then click the 'Calculate Distance!' button</t>
  </si>
  <si>
    <t>b) this will give you the distance between the locations - choose the 'miles' distance</t>
  </si>
  <si>
    <t>d) enter the journey distance into the relevant cell in Column F for the journey you are assessing</t>
  </si>
  <si>
    <t>c) if you are undertaking a return journey, you will need to double the value calculated above</t>
  </si>
  <si>
    <t>If you wish, enter the Starting and Destination locations in column B and C of the chosen travel option (row) but this is not necessary in order to calculate emissions.</t>
  </si>
  <si>
    <t>In the Calculation Sheet:</t>
  </si>
  <si>
    <t>Choose the travel method from the drop down menu in column A - you can compare 4 different methods for each of Land, Air or Sea travel (one row below the other)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</si>
</sst>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£&quot;#,##0;[Red]\-&quot;£&quot;#,##0"/>
    <numFmt numFmtId="165" formatCode="&quot;£&quot;#,##0.00;[Red]\-&quot;£&quot;#,##0.00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0.00000"/>
    <numFmt numFmtId="169" formatCode="&quot;£&quot;#,##0.0;[Red]\-&quot;£&quot;#,##0.0"/>
    <numFmt numFmtId="170" formatCode="0.000000"/>
    <numFmt numFmtId="171" formatCode="_-* #,##0.000000_-;\-* #,##0.000000_-;_-* &quot;-&quot;??_-;_-@_-"/>
    <numFmt numFmtId="172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4" borderId="0" xfId="0" applyFill="1"/>
    <xf numFmtId="0" fontId="0" fillId="5" borderId="0" xfId="0" applyFill="1"/>
    <xf numFmtId="0" fontId="0" fillId="4" borderId="0" xfId="0" applyFill="1" applyAlignment="1">
      <alignment wrapText="1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0" xfId="0" applyFill="1" applyAlignment="1">
      <alignment wrapText="1"/>
    </xf>
    <xf numFmtId="164" fontId="0" fillId="4" borderId="0" xfId="0" applyNumberFormat="1" applyFill="1"/>
    <xf numFmtId="167" fontId="0" fillId="4" borderId="0" xfId="1" applyFont="1" applyFill="1"/>
    <xf numFmtId="168" fontId="0" fillId="5" borderId="0" xfId="0" applyNumberFormat="1" applyFill="1"/>
    <xf numFmtId="0" fontId="0" fillId="6" borderId="0" xfId="0" applyFill="1" applyAlignment="1">
      <alignment wrapText="1"/>
    </xf>
    <xf numFmtId="1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5" xfId="0" applyBorder="1"/>
    <xf numFmtId="0" fontId="0" fillId="0" borderId="7" xfId="0" applyBorder="1" applyAlignment="1">
      <alignment horizontal="right"/>
    </xf>
    <xf numFmtId="1" fontId="0" fillId="0" borderId="1" xfId="0" applyNumberFormat="1" applyBorder="1"/>
    <xf numFmtId="0" fontId="0" fillId="0" borderId="8" xfId="0" applyBorder="1"/>
    <xf numFmtId="165" fontId="0" fillId="4" borderId="0" xfId="0" applyNumberFormat="1" applyFill="1"/>
    <xf numFmtId="166" fontId="0" fillId="4" borderId="0" xfId="2" applyFont="1" applyFill="1"/>
    <xf numFmtId="0" fontId="4" fillId="4" borderId="0" xfId="3" applyFill="1" applyAlignment="1">
      <alignment wrapText="1"/>
    </xf>
    <xf numFmtId="17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9" fontId="0" fillId="4" borderId="0" xfId="0" applyNumberFormat="1" applyFill="1"/>
    <xf numFmtId="0" fontId="9" fillId="0" borderId="0" xfId="0" applyFont="1"/>
    <xf numFmtId="0" fontId="4" fillId="0" borderId="0" xfId="3"/>
    <xf numFmtId="0" fontId="3" fillId="7" borderId="10" xfId="0" applyFont="1" applyFill="1" applyBorder="1"/>
    <xf numFmtId="0" fontId="0" fillId="7" borderId="11" xfId="0" applyFill="1" applyBorder="1" applyAlignment="1">
      <alignment wrapText="1"/>
    </xf>
    <xf numFmtId="0" fontId="0" fillId="7" borderId="12" xfId="0" applyFill="1" applyBorder="1"/>
    <xf numFmtId="0" fontId="0" fillId="7" borderId="14" xfId="0" applyFill="1" applyBorder="1"/>
    <xf numFmtId="170" fontId="0" fillId="7" borderId="13" xfId="0" applyNumberFormat="1" applyFill="1" applyBorder="1"/>
    <xf numFmtId="170" fontId="0" fillId="7" borderId="15" xfId="0" applyNumberFormat="1" applyFill="1" applyBorder="1"/>
    <xf numFmtId="0" fontId="0" fillId="7" borderId="16" xfId="0" applyFill="1" applyBorder="1" applyAlignment="1">
      <alignment wrapText="1"/>
    </xf>
    <xf numFmtId="170" fontId="0" fillId="7" borderId="9" xfId="0" applyNumberFormat="1" applyFill="1" applyBorder="1"/>
    <xf numFmtId="0" fontId="0" fillId="7" borderId="17" xfId="0" applyFill="1" applyBorder="1" applyAlignment="1">
      <alignment wrapText="1"/>
    </xf>
    <xf numFmtId="171" fontId="0" fillId="7" borderId="13" xfId="0" applyNumberFormat="1" applyFill="1" applyBorder="1"/>
    <xf numFmtId="170" fontId="0" fillId="7" borderId="18" xfId="0" applyNumberFormat="1" applyFill="1" applyBorder="1"/>
    <xf numFmtId="171" fontId="0" fillId="7" borderId="15" xfId="0" applyNumberFormat="1" applyFill="1" applyBorder="1"/>
    <xf numFmtId="0" fontId="0" fillId="7" borderId="9" xfId="0" applyFill="1" applyBorder="1" applyAlignment="1">
      <alignment wrapText="1"/>
    </xf>
    <xf numFmtId="0" fontId="3" fillId="7" borderId="9" xfId="0" applyFont="1" applyFill="1" applyBorder="1"/>
    <xf numFmtId="0" fontId="0" fillId="7" borderId="9" xfId="0" applyFill="1" applyBorder="1"/>
    <xf numFmtId="167" fontId="0" fillId="7" borderId="9" xfId="0" applyNumberFormat="1" applyFill="1" applyBorder="1"/>
    <xf numFmtId="0" fontId="0" fillId="0" borderId="0" xfId="0" applyAlignment="1">
      <alignment wrapText="1"/>
    </xf>
    <xf numFmtId="0" fontId="3" fillId="0" borderId="0" xfId="0" applyFont="1"/>
    <xf numFmtId="0" fontId="10" fillId="0" borderId="0" xfId="0" applyFont="1"/>
    <xf numFmtId="0" fontId="0" fillId="8" borderId="20" xfId="0" applyFill="1" applyBorder="1" applyAlignment="1">
      <alignment horizontal="center"/>
    </xf>
    <xf numFmtId="0" fontId="0" fillId="8" borderId="21" xfId="0" applyFill="1" applyBorder="1" applyAlignment="1">
      <alignment horizontal="center" wrapText="1"/>
    </xf>
    <xf numFmtId="0" fontId="3" fillId="8" borderId="21" xfId="0" applyFont="1" applyFill="1" applyBorder="1" applyAlignment="1">
      <alignment horizontal="center" wrapText="1"/>
    </xf>
    <xf numFmtId="0" fontId="0" fillId="8" borderId="21" xfId="0" applyFill="1" applyBorder="1"/>
    <xf numFmtId="0" fontId="0" fillId="8" borderId="22" xfId="0" applyFill="1" applyBorder="1" applyAlignment="1">
      <alignment horizontal="center" wrapText="1"/>
    </xf>
    <xf numFmtId="0" fontId="0" fillId="0" borderId="23" xfId="0" applyBorder="1"/>
    <xf numFmtId="0" fontId="0" fillId="0" borderId="19" xfId="0" applyBorder="1"/>
    <xf numFmtId="172" fontId="0" fillId="0" borderId="19" xfId="0" applyNumberFormat="1" applyBorder="1"/>
    <xf numFmtId="2" fontId="0" fillId="0" borderId="24" xfId="0" applyNumberFormat="1" applyBorder="1"/>
    <xf numFmtId="167" fontId="0" fillId="0" borderId="0" xfId="0" applyNumberFormat="1"/>
    <xf numFmtId="0" fontId="0" fillId="0" borderId="12" xfId="0" applyBorder="1"/>
    <xf numFmtId="0" fontId="0" fillId="0" borderId="9" xfId="0" applyBorder="1"/>
    <xf numFmtId="172" fontId="0" fillId="0" borderId="9" xfId="0" applyNumberFormat="1" applyBorder="1"/>
    <xf numFmtId="2" fontId="0" fillId="0" borderId="13" xfId="0" applyNumberFormat="1" applyBorder="1"/>
    <xf numFmtId="0" fontId="0" fillId="0" borderId="14" xfId="0" applyBorder="1"/>
    <xf numFmtId="0" fontId="0" fillId="0" borderId="18" xfId="0" applyBorder="1"/>
    <xf numFmtId="172" fontId="0" fillId="0" borderId="18" xfId="0" applyNumberFormat="1" applyBorder="1"/>
    <xf numFmtId="2" fontId="0" fillId="0" borderId="15" xfId="0" applyNumberFormat="1" applyBorder="1"/>
    <xf numFmtId="0" fontId="4" fillId="0" borderId="0" xfId="3" applyProtection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istance.to/" TargetMode="External"/><Relationship Id="rId1" Type="http://schemas.openxmlformats.org/officeDocument/2006/relationships/hyperlink" Target="https://www.gov.uk/government/publications/greenhouse-gas-reporting-conversion-factors-201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heaa.com/motoring_advice/fuel/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istance.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workbookViewId="0">
      <selection activeCell="E15" sqref="E15"/>
    </sheetView>
  </sheetViews>
  <sheetFormatPr baseColWidth="10" defaultColWidth="8.83203125" defaultRowHeight="15" x14ac:dyDescent="0.2"/>
  <sheetData>
    <row r="1" spans="1:8" ht="19" x14ac:dyDescent="0.25">
      <c r="A1" s="30" t="s">
        <v>105</v>
      </c>
    </row>
    <row r="2" spans="1:8" x14ac:dyDescent="0.2">
      <c r="A2" s="49"/>
    </row>
    <row r="3" spans="1:8" ht="16" x14ac:dyDescent="0.2">
      <c r="A3" s="70" t="s">
        <v>112</v>
      </c>
    </row>
    <row r="4" spans="1:8" x14ac:dyDescent="0.2">
      <c r="A4" t="s">
        <v>106</v>
      </c>
    </row>
    <row r="6" spans="1:8" x14ac:dyDescent="0.2">
      <c r="A6" t="s">
        <v>107</v>
      </c>
    </row>
    <row r="7" spans="1:8" x14ac:dyDescent="0.2">
      <c r="B7" s="31" t="s">
        <v>108</v>
      </c>
    </row>
    <row r="9" spans="1:8" ht="16" x14ac:dyDescent="0.2">
      <c r="A9" s="70" t="s">
        <v>120</v>
      </c>
    </row>
    <row r="10" spans="1:8" ht="16" x14ac:dyDescent="0.2">
      <c r="A10" s="72" t="s">
        <v>121</v>
      </c>
    </row>
    <row r="11" spans="1:8" ht="16" x14ac:dyDescent="0.2">
      <c r="A11" s="72"/>
    </row>
    <row r="12" spans="1:8" ht="16" x14ac:dyDescent="0.2">
      <c r="A12" s="72" t="s">
        <v>119</v>
      </c>
    </row>
    <row r="13" spans="1:8" ht="16" x14ac:dyDescent="0.2">
      <c r="A13" s="72"/>
    </row>
    <row r="14" spans="1:8" x14ac:dyDescent="0.2">
      <c r="A14" t="s">
        <v>109</v>
      </c>
    </row>
    <row r="15" spans="1:8" x14ac:dyDescent="0.2">
      <c r="A15" t="s">
        <v>113</v>
      </c>
      <c r="E15" s="31" t="s">
        <v>86</v>
      </c>
      <c r="H15" s="71" t="s">
        <v>114</v>
      </c>
    </row>
    <row r="16" spans="1:8" x14ac:dyDescent="0.2">
      <c r="E16" t="s">
        <v>115</v>
      </c>
    </row>
    <row r="17" spans="1:5" x14ac:dyDescent="0.2">
      <c r="E17" t="s">
        <v>116</v>
      </c>
    </row>
    <row r="18" spans="1:5" x14ac:dyDescent="0.2">
      <c r="E18" t="s">
        <v>118</v>
      </c>
    </row>
    <row r="19" spans="1:5" x14ac:dyDescent="0.2">
      <c r="E19" t="s">
        <v>117</v>
      </c>
    </row>
    <row r="21" spans="1:5" x14ac:dyDescent="0.2">
      <c r="A21" t="s">
        <v>110</v>
      </c>
    </row>
    <row r="23" spans="1:5" x14ac:dyDescent="0.2">
      <c r="A23" t="s">
        <v>111</v>
      </c>
    </row>
  </sheetData>
  <hyperlinks>
    <hyperlink ref="B7" r:id="rId1" xr:uid="{00000000-0004-0000-0000-000000000000}"/>
    <hyperlink ref="E15" r:id="rId2" xr:uid="{00000000-0004-0000-0000-000001000000}"/>
  </hyperlinks>
  <pageMargins left="0.7" right="0.7" top="0.75" bottom="0.75" header="0.3" footer="0.3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C82"/>
  <sheetViews>
    <sheetView workbookViewId="0">
      <selection activeCell="F68" sqref="F68"/>
    </sheetView>
  </sheetViews>
  <sheetFormatPr baseColWidth="10" defaultColWidth="8.83203125" defaultRowHeight="15" x14ac:dyDescent="0.2"/>
  <cols>
    <col min="3" max="7" width="12.6640625" customWidth="1"/>
    <col min="9" max="9" width="40.1640625" bestFit="1" customWidth="1"/>
    <col min="10" max="10" width="12.5" customWidth="1"/>
    <col min="11" max="11" width="12.1640625" customWidth="1"/>
    <col min="15" max="15" width="11.5" customWidth="1"/>
    <col min="20" max="20" width="31" customWidth="1"/>
    <col min="21" max="21" width="14.5" customWidth="1"/>
    <col min="23" max="23" width="15.33203125" customWidth="1"/>
    <col min="24" max="24" width="16.83203125" customWidth="1"/>
    <col min="25" max="25" width="14.1640625" customWidth="1"/>
    <col min="27" max="27" width="14.5" customWidth="1"/>
    <col min="28" max="28" width="12.83203125" customWidth="1"/>
    <col min="29" max="29" width="14.1640625" customWidth="1"/>
  </cols>
  <sheetData>
    <row r="2" spans="2:29" ht="16" thickBot="1" x14ac:dyDescent="0.25">
      <c r="B2" s="1"/>
      <c r="C2" s="73" t="s">
        <v>0</v>
      </c>
      <c r="D2" s="73"/>
      <c r="E2" s="73"/>
      <c r="F2" s="73"/>
      <c r="G2" s="73"/>
      <c r="I2" s="2" t="s">
        <v>1</v>
      </c>
      <c r="J2" s="2"/>
      <c r="K2" s="2"/>
      <c r="L2" s="2"/>
      <c r="M2" s="2"/>
    </row>
    <row r="3" spans="2:29" ht="48" x14ac:dyDescent="0.2">
      <c r="B3" s="3"/>
      <c r="C3" s="3" t="s">
        <v>2</v>
      </c>
      <c r="D3" s="3"/>
      <c r="E3" s="3"/>
      <c r="F3" s="3"/>
      <c r="G3" s="3"/>
      <c r="I3" s="4"/>
      <c r="J3" s="4"/>
      <c r="K3" s="4"/>
      <c r="L3" s="4"/>
      <c r="M3" s="4"/>
      <c r="T3" s="32" t="s">
        <v>85</v>
      </c>
      <c r="U3" s="33" t="s">
        <v>87</v>
      </c>
      <c r="W3" s="32" t="s">
        <v>89</v>
      </c>
      <c r="X3" s="40" t="s">
        <v>87</v>
      </c>
      <c r="Y3" s="38" t="s">
        <v>93</v>
      </c>
      <c r="AA3" s="45" t="s">
        <v>100</v>
      </c>
      <c r="AB3" s="44" t="s">
        <v>87</v>
      </c>
      <c r="AC3" s="44" t="s">
        <v>93</v>
      </c>
    </row>
    <row r="4" spans="2:29" ht="48" x14ac:dyDescent="0.2">
      <c r="B4" s="3"/>
      <c r="C4" s="3" t="s">
        <v>3</v>
      </c>
      <c r="D4" s="3" t="s">
        <v>4</v>
      </c>
      <c r="E4" s="5" t="s">
        <v>5</v>
      </c>
      <c r="F4" s="3" t="s">
        <v>6</v>
      </c>
      <c r="G4" s="5" t="s">
        <v>7</v>
      </c>
      <c r="I4" s="6" t="s">
        <v>8</v>
      </c>
      <c r="J4" s="7" t="s">
        <v>9</v>
      </c>
      <c r="K4" s="7" t="s">
        <v>10</v>
      </c>
      <c r="L4" s="7" t="s">
        <v>6</v>
      </c>
      <c r="M4" s="7" t="s">
        <v>11</v>
      </c>
      <c r="O4" s="8" t="s">
        <v>12</v>
      </c>
      <c r="P4" s="8" t="s">
        <v>13</v>
      </c>
      <c r="Q4" s="8" t="s">
        <v>14</v>
      </c>
      <c r="T4" s="34" t="s">
        <v>25</v>
      </c>
      <c r="U4" s="36">
        <f>M9</f>
        <v>0.41026904619999999</v>
      </c>
      <c r="W4" s="34" t="s">
        <v>75</v>
      </c>
      <c r="X4" s="39">
        <f>E36</f>
        <v>0.27900999999999998</v>
      </c>
      <c r="Y4" s="41">
        <f>G36</f>
        <v>1.1160399999999999</v>
      </c>
      <c r="AA4" s="46" t="s">
        <v>99</v>
      </c>
      <c r="AB4" s="46">
        <f>H80</f>
        <v>3.01590316E-2</v>
      </c>
      <c r="AC4" s="47">
        <f>G80</f>
        <v>5.9352974188800006E-2</v>
      </c>
    </row>
    <row r="5" spans="2:29" x14ac:dyDescent="0.2">
      <c r="B5" s="3" t="s">
        <v>0</v>
      </c>
      <c r="C5" s="9">
        <v>2</v>
      </c>
      <c r="D5" s="3">
        <v>2.4</v>
      </c>
      <c r="E5" s="3">
        <v>0.10471</v>
      </c>
      <c r="F5" s="3">
        <v>1.60934</v>
      </c>
      <c r="G5" s="10">
        <f>E5*(D5*F5)/C5</f>
        <v>0.20221678967999998</v>
      </c>
      <c r="H5">
        <f>E5*F5</f>
        <v>0.16851399140000001</v>
      </c>
      <c r="I5" s="4" t="s">
        <v>15</v>
      </c>
      <c r="J5">
        <v>0.40149000000000001</v>
      </c>
      <c r="K5" s="4" t="s">
        <v>16</v>
      </c>
      <c r="L5" s="4">
        <v>1.60934</v>
      </c>
      <c r="M5" s="4">
        <f>J5*L5</f>
        <v>0.64613391659999997</v>
      </c>
      <c r="O5">
        <v>0.40149000000000001</v>
      </c>
      <c r="P5">
        <v>0.21226</v>
      </c>
      <c r="Q5">
        <f>P5/O5</f>
        <v>0.52868066452464568</v>
      </c>
      <c r="T5" s="34" t="s">
        <v>79</v>
      </c>
      <c r="U5" s="36">
        <f>M7</f>
        <v>0.25062251820000003</v>
      </c>
      <c r="W5" s="34" t="s">
        <v>90</v>
      </c>
      <c r="X5" s="39">
        <f>H62</f>
        <v>0.33834764160000003</v>
      </c>
      <c r="Y5" s="41">
        <f>G62</f>
        <v>0.40601716992000003</v>
      </c>
      <c r="AA5" s="46" t="s">
        <v>101</v>
      </c>
      <c r="AB5" s="46">
        <f>H81</f>
        <v>0.20844171679999998</v>
      </c>
      <c r="AC5" s="47">
        <f>G81</f>
        <v>0.24711644497734941</v>
      </c>
    </row>
    <row r="6" spans="2:29" x14ac:dyDescent="0.2">
      <c r="I6" s="4" t="s">
        <v>17</v>
      </c>
      <c r="J6">
        <v>0.40149000000000001</v>
      </c>
      <c r="K6" s="4" t="str">
        <f>K5</f>
        <v>Long-haul Business class</v>
      </c>
      <c r="L6" s="4">
        <v>1.60934</v>
      </c>
      <c r="M6" s="4">
        <f t="shared" ref="M6:M19" si="0">J6*L6</f>
        <v>0.64613391659999997</v>
      </c>
      <c r="O6">
        <v>0.40149000000000001</v>
      </c>
      <c r="P6">
        <v>0.21226</v>
      </c>
      <c r="Q6">
        <f t="shared" ref="Q6:Q19" si="1">P6/O6</f>
        <v>0.52868066452464568</v>
      </c>
      <c r="T6" s="34" t="s">
        <v>80</v>
      </c>
      <c r="U6" s="36">
        <f>M17</f>
        <v>0.37594182399999998</v>
      </c>
      <c r="W6" s="34" t="s">
        <v>0</v>
      </c>
      <c r="X6" s="39">
        <f>H5</f>
        <v>0.16851399140000001</v>
      </c>
      <c r="Y6" s="41">
        <f>G5</f>
        <v>0.20221678967999998</v>
      </c>
    </row>
    <row r="7" spans="2:29" x14ac:dyDescent="0.2">
      <c r="I7" s="4" t="s">
        <v>18</v>
      </c>
      <c r="J7">
        <v>0.15573000000000001</v>
      </c>
      <c r="K7" s="4" t="s">
        <v>19</v>
      </c>
      <c r="L7" s="4">
        <v>1.60934</v>
      </c>
      <c r="M7" s="4">
        <f t="shared" si="0"/>
        <v>0.25062251820000003</v>
      </c>
      <c r="O7">
        <v>0.15573000000000001</v>
      </c>
      <c r="P7">
        <v>8.233E-2</v>
      </c>
      <c r="Q7">
        <f t="shared" si="1"/>
        <v>0.52867141848070376</v>
      </c>
      <c r="T7" s="34" t="s">
        <v>81</v>
      </c>
      <c r="U7" s="36">
        <f>M8</f>
        <v>0.2410952254</v>
      </c>
      <c r="W7" s="34" t="s">
        <v>20</v>
      </c>
      <c r="X7" s="39">
        <f>H11</f>
        <v>4.4723558599999998E-2</v>
      </c>
      <c r="Y7" s="41">
        <f>G11</f>
        <v>4.3126288649999997E-2</v>
      </c>
    </row>
    <row r="8" spans="2:29" x14ac:dyDescent="0.2">
      <c r="B8" s="1"/>
      <c r="C8" s="73" t="s">
        <v>20</v>
      </c>
      <c r="D8" s="73"/>
      <c r="E8" s="73"/>
      <c r="F8" s="73"/>
      <c r="G8" s="73"/>
      <c r="I8" s="4" t="s">
        <v>21</v>
      </c>
      <c r="J8">
        <v>0.14981</v>
      </c>
      <c r="K8" s="4" t="s">
        <v>22</v>
      </c>
      <c r="L8" s="4">
        <v>1.60934</v>
      </c>
      <c r="M8" s="4">
        <f t="shared" si="0"/>
        <v>0.2410952254</v>
      </c>
      <c r="O8">
        <v>0.14981</v>
      </c>
      <c r="P8">
        <v>7.9200000000000007E-2</v>
      </c>
      <c r="Q8">
        <f t="shared" si="1"/>
        <v>0.52866964822108009</v>
      </c>
      <c r="T8" s="34" t="s">
        <v>82</v>
      </c>
      <c r="U8" s="36">
        <f>M12</f>
        <v>0.38575879800000001</v>
      </c>
      <c r="W8" s="34" t="s">
        <v>33</v>
      </c>
      <c r="X8" s="39">
        <f>H18</f>
        <v>6.6224340999999992E-2</v>
      </c>
      <c r="Y8" s="41">
        <f>G18</f>
        <v>0.19643732745001638</v>
      </c>
    </row>
    <row r="9" spans="2:29" x14ac:dyDescent="0.2">
      <c r="B9" s="3"/>
      <c r="C9" s="3" t="s">
        <v>23</v>
      </c>
      <c r="D9" s="3"/>
      <c r="E9" s="3"/>
      <c r="F9" s="3"/>
      <c r="G9" s="3"/>
      <c r="I9" s="4" t="s">
        <v>24</v>
      </c>
      <c r="J9">
        <v>0.25492999999999999</v>
      </c>
      <c r="K9" s="4" t="s">
        <v>25</v>
      </c>
      <c r="L9" s="4">
        <v>1.60934</v>
      </c>
      <c r="M9" s="4">
        <f t="shared" si="0"/>
        <v>0.41026904619999999</v>
      </c>
      <c r="O9">
        <v>0.25492999999999999</v>
      </c>
      <c r="P9">
        <v>0.13345000000000001</v>
      </c>
      <c r="Q9">
        <f t="shared" si="1"/>
        <v>0.52347703291099523</v>
      </c>
      <c r="T9" s="34" t="s">
        <v>83</v>
      </c>
      <c r="U9" s="36">
        <f>M5</f>
        <v>0.64613391659999997</v>
      </c>
      <c r="W9" s="34" t="s">
        <v>41</v>
      </c>
      <c r="X9" s="39">
        <f>H30</f>
        <v>9.607759799999999E-3</v>
      </c>
      <c r="Y9" s="41">
        <f>G30</f>
        <v>1.6333919999999998E-2</v>
      </c>
    </row>
    <row r="10" spans="2:29" ht="33" thickBot="1" x14ac:dyDescent="0.25">
      <c r="B10" s="3"/>
      <c r="C10" s="3" t="s">
        <v>3</v>
      </c>
      <c r="D10" s="3" t="s">
        <v>4</v>
      </c>
      <c r="E10" s="5" t="s">
        <v>5</v>
      </c>
      <c r="F10" s="3" t="s">
        <v>6</v>
      </c>
      <c r="G10" s="5" t="s">
        <v>7</v>
      </c>
      <c r="I10" s="4" t="s">
        <v>26</v>
      </c>
      <c r="J10" s="11">
        <f>AVERAGE(J7,J8,J9)</f>
        <v>0.18682333333333334</v>
      </c>
      <c r="K10" s="4" t="s">
        <v>27</v>
      </c>
      <c r="L10" s="4">
        <v>1.60934</v>
      </c>
      <c r="M10" s="4">
        <f t="shared" si="0"/>
        <v>0.30066226326666667</v>
      </c>
      <c r="O10" s="11">
        <f>AVERAGE(O7,O8,O9)</f>
        <v>0.18682333333333334</v>
      </c>
      <c r="P10" s="11">
        <f>AVERAGE(P7,P8,P9)</f>
        <v>9.8326666666666673E-2</v>
      </c>
      <c r="Q10">
        <f t="shared" si="1"/>
        <v>0.52630827698181881</v>
      </c>
      <c r="T10" s="35" t="s">
        <v>84</v>
      </c>
      <c r="U10" s="37">
        <f>M16</f>
        <v>0.96439699499999987</v>
      </c>
      <c r="W10" s="34" t="s">
        <v>91</v>
      </c>
      <c r="X10" s="39">
        <f>H74</f>
        <v>4.9632045600000001E-2</v>
      </c>
      <c r="Y10" s="41">
        <f>G74</f>
        <v>5.1404618657142853E-2</v>
      </c>
    </row>
    <row r="11" spans="2:29" ht="16" thickBot="1" x14ac:dyDescent="0.25">
      <c r="B11" s="3" t="s">
        <v>20</v>
      </c>
      <c r="C11" s="9">
        <v>28</v>
      </c>
      <c r="D11" s="3">
        <v>27</v>
      </c>
      <c r="E11" s="3">
        <v>2.7789999999999999E-2</v>
      </c>
      <c r="F11" s="3">
        <v>1.60934</v>
      </c>
      <c r="G11" s="10">
        <f>E11*(D11*F11)/C11</f>
        <v>4.3126288649999997E-2</v>
      </c>
      <c r="H11">
        <f>E11*F11</f>
        <v>4.4723558599999998E-2</v>
      </c>
      <c r="I11" s="4" t="s">
        <v>28</v>
      </c>
      <c r="J11">
        <f>J7</f>
        <v>0.15573000000000001</v>
      </c>
      <c r="K11" s="4" t="str">
        <f>K7</f>
        <v>Short-haul economy</v>
      </c>
      <c r="L11" s="4">
        <v>1.60934</v>
      </c>
      <c r="M11" s="4">
        <f t="shared" si="0"/>
        <v>0.25062251820000003</v>
      </c>
      <c r="O11">
        <f>O7</f>
        <v>0.15573000000000001</v>
      </c>
      <c r="P11">
        <v>8.233E-2</v>
      </c>
      <c r="Q11">
        <f t="shared" si="1"/>
        <v>0.52867141848070376</v>
      </c>
      <c r="W11" s="35" t="s">
        <v>92</v>
      </c>
      <c r="X11" s="42">
        <f>H68</f>
        <v>5.64556472E-2</v>
      </c>
      <c r="Y11" s="43">
        <f>G68</f>
        <v>7.5274196266666663E-2</v>
      </c>
    </row>
    <row r="12" spans="2:29" x14ac:dyDescent="0.2">
      <c r="B12" s="3" t="s">
        <v>29</v>
      </c>
      <c r="C12" s="9"/>
      <c r="D12" s="3"/>
      <c r="E12" s="3"/>
      <c r="F12" s="3"/>
      <c r="G12" s="10">
        <f>G11</f>
        <v>4.3126288649999997E-2</v>
      </c>
      <c r="I12" s="4" t="s">
        <v>30</v>
      </c>
      <c r="J12">
        <v>0.2397</v>
      </c>
      <c r="K12" s="4" t="s">
        <v>31</v>
      </c>
      <c r="L12" s="4">
        <v>1.60934</v>
      </c>
      <c r="M12" s="4">
        <f t="shared" si="0"/>
        <v>0.38575879800000001</v>
      </c>
      <c r="O12">
        <v>0.2397</v>
      </c>
      <c r="P12">
        <v>0.12673000000000001</v>
      </c>
      <c r="Q12">
        <f t="shared" si="1"/>
        <v>0.52870254484772639</v>
      </c>
    </row>
    <row r="13" spans="2:29" x14ac:dyDescent="0.2">
      <c r="I13" s="4"/>
      <c r="K13" s="4"/>
      <c r="L13" s="4">
        <v>1.60934</v>
      </c>
      <c r="M13" s="4">
        <f t="shared" si="0"/>
        <v>0</v>
      </c>
      <c r="Q13" t="e">
        <f t="shared" si="1"/>
        <v>#DIV/0!</v>
      </c>
    </row>
    <row r="14" spans="2:29" x14ac:dyDescent="0.2">
      <c r="I14" s="4" t="s">
        <v>32</v>
      </c>
      <c r="J14">
        <f>J15</f>
        <v>0.15573000000000001</v>
      </c>
      <c r="K14" s="4" t="str">
        <f>K15</f>
        <v>Short-haul economy</v>
      </c>
      <c r="L14" s="4">
        <v>1.60934</v>
      </c>
      <c r="M14" s="4">
        <f t="shared" si="0"/>
        <v>0.25062251820000003</v>
      </c>
      <c r="O14">
        <f>O15</f>
        <v>0.15573000000000001</v>
      </c>
      <c r="P14">
        <f>P15</f>
        <v>8.233E-2</v>
      </c>
      <c r="Q14">
        <f t="shared" si="1"/>
        <v>0.52867141848070376</v>
      </c>
    </row>
    <row r="15" spans="2:29" x14ac:dyDescent="0.2">
      <c r="B15" s="1"/>
      <c r="C15" s="73" t="s">
        <v>33</v>
      </c>
      <c r="D15" s="73"/>
      <c r="E15" s="73"/>
      <c r="F15" s="73"/>
      <c r="G15" s="73"/>
      <c r="I15" s="4" t="s">
        <v>34</v>
      </c>
      <c r="J15">
        <f>J7</f>
        <v>0.15573000000000001</v>
      </c>
      <c r="K15" s="4" t="s">
        <v>19</v>
      </c>
      <c r="L15" s="4">
        <v>1.60934</v>
      </c>
      <c r="M15" s="4">
        <f t="shared" si="0"/>
        <v>0.25062251820000003</v>
      </c>
      <c r="O15">
        <f>O7</f>
        <v>0.15573000000000001</v>
      </c>
      <c r="P15">
        <v>8.233E-2</v>
      </c>
      <c r="Q15">
        <f t="shared" si="1"/>
        <v>0.52867141848070376</v>
      </c>
    </row>
    <row r="16" spans="2:29" x14ac:dyDescent="0.2">
      <c r="B16" s="3"/>
      <c r="C16" s="3" t="s">
        <v>35</v>
      </c>
      <c r="D16" s="3"/>
      <c r="E16" s="3"/>
      <c r="F16" s="3"/>
      <c r="G16" s="3"/>
      <c r="I16" s="4" t="s">
        <v>36</v>
      </c>
      <c r="J16">
        <v>0.59924999999999995</v>
      </c>
      <c r="K16" s="4" t="s">
        <v>37</v>
      </c>
      <c r="L16" s="4">
        <v>1.60934</v>
      </c>
      <c r="M16" s="4">
        <f t="shared" si="0"/>
        <v>0.96439699499999987</v>
      </c>
      <c r="O16">
        <v>0.59924999999999995</v>
      </c>
      <c r="P16">
        <v>0.31680999999999998</v>
      </c>
      <c r="Q16">
        <f t="shared" si="1"/>
        <v>0.52867751355861492</v>
      </c>
    </row>
    <row r="17" spans="2:17" ht="32" x14ac:dyDescent="0.2">
      <c r="B17" s="3"/>
      <c r="C17" s="3" t="s">
        <v>3</v>
      </c>
      <c r="D17" s="3" t="s">
        <v>4</v>
      </c>
      <c r="E17" s="5" t="s">
        <v>5</v>
      </c>
      <c r="F17" s="3" t="s">
        <v>6</v>
      </c>
      <c r="G17" s="5" t="s">
        <v>7</v>
      </c>
      <c r="I17" s="4" t="s">
        <v>38</v>
      </c>
      <c r="J17">
        <v>0.2336</v>
      </c>
      <c r="K17" s="4" t="s">
        <v>39</v>
      </c>
      <c r="L17" s="4">
        <v>1.60934</v>
      </c>
      <c r="M17" s="4">
        <f t="shared" si="0"/>
        <v>0.37594182399999998</v>
      </c>
      <c r="O17">
        <v>0.2336</v>
      </c>
      <c r="P17">
        <v>0.1235</v>
      </c>
      <c r="Q17">
        <f t="shared" si="1"/>
        <v>0.52868150684931503</v>
      </c>
    </row>
    <row r="18" spans="2:17" x14ac:dyDescent="0.2">
      <c r="B18" s="3" t="s">
        <v>33</v>
      </c>
      <c r="C18" s="9">
        <v>61.02</v>
      </c>
      <c r="D18" s="3">
        <v>181</v>
      </c>
      <c r="E18" s="3">
        <v>4.1149999999999999E-2</v>
      </c>
      <c r="F18" s="3">
        <v>1.60934</v>
      </c>
      <c r="G18" s="10">
        <f>E18*(D18*F18)/C18</f>
        <v>0.19643732745001638</v>
      </c>
      <c r="H18">
        <f>E18*F18</f>
        <v>6.6224340999999992E-2</v>
      </c>
      <c r="I18" s="4" t="s">
        <v>40</v>
      </c>
      <c r="J18">
        <f>J11</f>
        <v>0.15573000000000001</v>
      </c>
      <c r="K18" s="4" t="str">
        <f>K11</f>
        <v>Short-haul economy</v>
      </c>
      <c r="L18" s="4">
        <f>L11</f>
        <v>1.60934</v>
      </c>
      <c r="M18" s="4">
        <f t="shared" si="0"/>
        <v>0.25062251820000003</v>
      </c>
      <c r="O18">
        <f>O11</f>
        <v>0.15573000000000001</v>
      </c>
      <c r="P18">
        <f>P11</f>
        <v>8.233E-2</v>
      </c>
      <c r="Q18">
        <f t="shared" si="1"/>
        <v>0.52867141848070376</v>
      </c>
    </row>
    <row r="19" spans="2:17" x14ac:dyDescent="0.2">
      <c r="I19" s="4" t="s">
        <v>41</v>
      </c>
      <c r="J19">
        <v>5.9699999999999996E-3</v>
      </c>
      <c r="K19" s="4" t="s">
        <v>42</v>
      </c>
      <c r="L19" s="4">
        <f>L12</f>
        <v>1.60934</v>
      </c>
      <c r="M19" s="4">
        <f t="shared" si="0"/>
        <v>9.607759799999999E-3</v>
      </c>
      <c r="O19">
        <v>5.9699999999999996E-3</v>
      </c>
      <c r="P19">
        <v>5.9699999999999996E-3</v>
      </c>
      <c r="Q19">
        <f t="shared" si="1"/>
        <v>1</v>
      </c>
    </row>
    <row r="20" spans="2:17" x14ac:dyDescent="0.2">
      <c r="I20" s="4"/>
      <c r="J20" s="4"/>
      <c r="K20" s="4"/>
      <c r="L20" s="4"/>
      <c r="M20" s="4"/>
    </row>
    <row r="21" spans="2:17" x14ac:dyDescent="0.2">
      <c r="B21" s="1"/>
      <c r="C21" s="73" t="s">
        <v>43</v>
      </c>
      <c r="D21" s="73"/>
      <c r="E21" s="73"/>
      <c r="F21" s="73"/>
      <c r="G21" s="73"/>
    </row>
    <row r="22" spans="2:17" x14ac:dyDescent="0.2">
      <c r="B22" s="3"/>
      <c r="C22" s="3" t="s">
        <v>44</v>
      </c>
      <c r="D22" s="3"/>
      <c r="E22" s="3"/>
      <c r="F22" s="3"/>
      <c r="G22" s="3"/>
    </row>
    <row r="23" spans="2:17" ht="48" x14ac:dyDescent="0.2">
      <c r="B23" s="3"/>
      <c r="C23" s="3"/>
      <c r="D23" s="3"/>
      <c r="E23" s="5"/>
      <c r="F23" s="3"/>
      <c r="G23" s="5" t="s">
        <v>7</v>
      </c>
      <c r="I23" s="12" t="s">
        <v>45</v>
      </c>
      <c r="J23" s="13">
        <f>9207*O12</f>
        <v>2206.9178999999999</v>
      </c>
      <c r="K23" s="74" t="s">
        <v>46</v>
      </c>
      <c r="L23" s="74"/>
      <c r="M23" s="74"/>
      <c r="N23" s="74"/>
      <c r="O23" s="13">
        <f>J23</f>
        <v>2206.9178999999999</v>
      </c>
      <c r="P23" s="13">
        <f>9207*P12</f>
        <v>1166.8031100000001</v>
      </c>
    </row>
    <row r="24" spans="2:17" x14ac:dyDescent="0.2">
      <c r="B24" s="3" t="s">
        <v>47</v>
      </c>
      <c r="C24" s="9"/>
      <c r="D24" s="3"/>
      <c r="E24" s="3"/>
      <c r="F24" s="3"/>
      <c r="G24" s="10">
        <v>0</v>
      </c>
    </row>
    <row r="25" spans="2:17" x14ac:dyDescent="0.2">
      <c r="J25" s="14"/>
      <c r="K25" s="15">
        <v>8994</v>
      </c>
      <c r="L25" s="16" t="s">
        <v>48</v>
      </c>
    </row>
    <row r="26" spans="2:17" x14ac:dyDescent="0.2">
      <c r="J26" s="17" t="s">
        <v>49</v>
      </c>
      <c r="K26" s="13">
        <f>K25*O12</f>
        <v>2155.8618000000001</v>
      </c>
      <c r="L26" s="18" t="s">
        <v>50</v>
      </c>
    </row>
    <row r="27" spans="2:17" x14ac:dyDescent="0.2">
      <c r="B27" s="1"/>
      <c r="C27" s="73" t="s">
        <v>41</v>
      </c>
      <c r="D27" s="73"/>
      <c r="E27" s="73"/>
      <c r="F27" s="73"/>
      <c r="G27" s="73"/>
      <c r="J27" s="19"/>
      <c r="L27" s="18"/>
    </row>
    <row r="28" spans="2:17" x14ac:dyDescent="0.2">
      <c r="B28" s="3"/>
      <c r="C28" s="3" t="s">
        <v>51</v>
      </c>
      <c r="D28" s="3"/>
      <c r="E28" s="3"/>
      <c r="F28" s="3"/>
      <c r="G28" s="3"/>
      <c r="J28" s="20" t="s">
        <v>52</v>
      </c>
      <c r="K28" s="21">
        <f>K25*P12</f>
        <v>1139.80962</v>
      </c>
      <c r="L28" s="22" t="s">
        <v>50</v>
      </c>
    </row>
    <row r="29" spans="2:17" ht="32" x14ac:dyDescent="0.2">
      <c r="B29" s="3"/>
      <c r="C29" s="3" t="s">
        <v>3</v>
      </c>
      <c r="D29" s="3" t="s">
        <v>53</v>
      </c>
      <c r="E29" s="5" t="s">
        <v>5</v>
      </c>
      <c r="F29" s="3"/>
      <c r="G29" s="5" t="s">
        <v>7</v>
      </c>
    </row>
    <row r="30" spans="2:17" x14ac:dyDescent="0.2">
      <c r="B30" s="3" t="s">
        <v>41</v>
      </c>
      <c r="C30" s="9">
        <v>125</v>
      </c>
      <c r="D30" s="3">
        <v>342</v>
      </c>
      <c r="E30" s="3">
        <v>5.9699999999999996E-3</v>
      </c>
      <c r="F30" s="3"/>
      <c r="G30" s="10">
        <f>E30*D30/C30</f>
        <v>1.6333919999999998E-2</v>
      </c>
      <c r="H30">
        <f>E30*F18</f>
        <v>9.607759799999999E-3</v>
      </c>
    </row>
    <row r="33" spans="2:7" x14ac:dyDescent="0.2">
      <c r="B33" s="1"/>
      <c r="C33" s="73" t="s">
        <v>54</v>
      </c>
      <c r="D33" s="73"/>
      <c r="E33" s="73"/>
      <c r="F33" s="73"/>
      <c r="G33" s="73"/>
    </row>
    <row r="34" spans="2:7" x14ac:dyDescent="0.2">
      <c r="B34" s="3"/>
      <c r="C34" s="3" t="s">
        <v>55</v>
      </c>
      <c r="D34" s="3"/>
      <c r="E34" s="3"/>
      <c r="F34" s="3"/>
      <c r="G34" s="3"/>
    </row>
    <row r="35" spans="2:7" ht="32" x14ac:dyDescent="0.2">
      <c r="B35" s="3"/>
      <c r="C35" s="3" t="s">
        <v>3</v>
      </c>
      <c r="D35" s="3" t="s">
        <v>56</v>
      </c>
      <c r="E35" s="5" t="s">
        <v>11</v>
      </c>
      <c r="F35" s="3"/>
      <c r="G35" s="5" t="s">
        <v>7</v>
      </c>
    </row>
    <row r="36" spans="2:7" x14ac:dyDescent="0.2">
      <c r="B36" s="3" t="s">
        <v>54</v>
      </c>
      <c r="C36" s="23">
        <v>0.25</v>
      </c>
      <c r="D36" s="3">
        <v>1</v>
      </c>
      <c r="E36" s="3">
        <v>0.27900999999999998</v>
      </c>
      <c r="F36" s="3"/>
      <c r="G36" s="10">
        <f>E36/C36</f>
        <v>1.1160399999999999</v>
      </c>
    </row>
    <row r="39" spans="2:7" x14ac:dyDescent="0.2">
      <c r="B39" s="1"/>
      <c r="C39" s="73" t="s">
        <v>57</v>
      </c>
      <c r="D39" s="73"/>
      <c r="E39" s="73"/>
      <c r="F39" s="73"/>
      <c r="G39" s="73"/>
    </row>
    <row r="40" spans="2:7" x14ac:dyDescent="0.2">
      <c r="B40" s="3"/>
      <c r="C40" s="3" t="s">
        <v>58</v>
      </c>
      <c r="D40" s="3"/>
      <c r="E40" s="3"/>
      <c r="F40" s="3"/>
      <c r="G40" s="3"/>
    </row>
    <row r="41" spans="2:7" ht="32" x14ac:dyDescent="0.2">
      <c r="B41" s="3"/>
      <c r="C41" s="3"/>
      <c r="D41" s="3" t="s">
        <v>59</v>
      </c>
      <c r="E41" s="3"/>
      <c r="F41" s="5" t="s">
        <v>60</v>
      </c>
      <c r="G41" s="5" t="s">
        <v>7</v>
      </c>
    </row>
    <row r="42" spans="2:7" x14ac:dyDescent="0.2">
      <c r="B42" s="3" t="s">
        <v>61</v>
      </c>
      <c r="C42" s="9"/>
      <c r="D42" s="24">
        <f>AVERAGE(D45:F56)/100</f>
        <v>1.3338333333333332</v>
      </c>
      <c r="E42" s="3"/>
      <c r="F42" s="3">
        <f>AVERAGE(2.20904,2.549411)</f>
        <v>2.3792255</v>
      </c>
      <c r="G42" s="10">
        <f>F42/D42</f>
        <v>1.7837502186679997</v>
      </c>
    </row>
    <row r="43" spans="2:7" x14ac:dyDescent="0.2">
      <c r="B43" s="3"/>
      <c r="C43" s="3"/>
      <c r="D43" s="3"/>
      <c r="E43" s="3"/>
      <c r="F43" s="3"/>
      <c r="G43" s="3"/>
    </row>
    <row r="44" spans="2:7" ht="64" x14ac:dyDescent="0.2">
      <c r="B44" s="3"/>
      <c r="C44" s="25" t="s">
        <v>62</v>
      </c>
      <c r="D44" s="5" t="s">
        <v>63</v>
      </c>
      <c r="E44" s="5" t="s">
        <v>64</v>
      </c>
      <c r="F44" s="5" t="s">
        <v>65</v>
      </c>
      <c r="G44" s="3"/>
    </row>
    <row r="45" spans="2:7" x14ac:dyDescent="0.2">
      <c r="B45" s="3"/>
      <c r="C45" s="26">
        <v>43678</v>
      </c>
      <c r="D45" s="3">
        <v>129.19999999999999</v>
      </c>
      <c r="E45" s="3">
        <v>132</v>
      </c>
      <c r="F45" s="3">
        <v>140.1</v>
      </c>
      <c r="G45" s="3"/>
    </row>
    <row r="46" spans="2:7" x14ac:dyDescent="0.2">
      <c r="B46" s="3"/>
      <c r="C46" s="26">
        <v>43709</v>
      </c>
      <c r="D46" s="3">
        <v>127.7</v>
      </c>
      <c r="E46" s="3">
        <v>131.4</v>
      </c>
      <c r="F46" s="3">
        <v>139.9</v>
      </c>
      <c r="G46" s="3"/>
    </row>
    <row r="47" spans="2:7" x14ac:dyDescent="0.2">
      <c r="B47" s="3"/>
      <c r="C47" s="26">
        <v>43739</v>
      </c>
      <c r="D47" s="3"/>
      <c r="E47" s="3"/>
      <c r="F47" s="3"/>
      <c r="G47" s="3"/>
    </row>
    <row r="48" spans="2:7" x14ac:dyDescent="0.2">
      <c r="B48" s="3"/>
      <c r="C48" s="26">
        <v>43770</v>
      </c>
      <c r="D48" s="3"/>
      <c r="E48" s="3"/>
      <c r="F48" s="3"/>
      <c r="G48" s="3"/>
    </row>
    <row r="49" spans="2:9" x14ac:dyDescent="0.2">
      <c r="B49" s="3"/>
      <c r="C49" s="26">
        <v>43800</v>
      </c>
      <c r="D49" s="27"/>
      <c r="E49" s="27"/>
      <c r="F49" s="27"/>
      <c r="G49" s="3"/>
    </row>
    <row r="50" spans="2:9" x14ac:dyDescent="0.2">
      <c r="B50" s="3"/>
      <c r="C50" s="26">
        <v>43831</v>
      </c>
      <c r="D50" s="27"/>
      <c r="E50" s="27"/>
      <c r="F50" s="27"/>
      <c r="G50" s="3"/>
    </row>
    <row r="51" spans="2:9" x14ac:dyDescent="0.2">
      <c r="B51" s="3"/>
      <c r="C51" s="26">
        <v>43862</v>
      </c>
      <c r="D51" s="27"/>
      <c r="E51" s="27"/>
      <c r="F51" s="27"/>
      <c r="G51" s="3"/>
    </row>
    <row r="52" spans="2:9" x14ac:dyDescent="0.2">
      <c r="B52" s="3"/>
      <c r="C52" s="26">
        <v>43891</v>
      </c>
      <c r="D52" s="27"/>
      <c r="E52" s="27"/>
      <c r="F52" s="27"/>
      <c r="G52" s="3"/>
    </row>
    <row r="53" spans="2:9" x14ac:dyDescent="0.2">
      <c r="B53" s="3"/>
      <c r="C53" s="26">
        <v>43922</v>
      </c>
      <c r="D53" s="27"/>
      <c r="E53" s="27"/>
      <c r="F53" s="27"/>
      <c r="G53" s="3"/>
    </row>
    <row r="54" spans="2:9" x14ac:dyDescent="0.2">
      <c r="B54" s="3"/>
      <c r="C54" s="26">
        <v>43952</v>
      </c>
      <c r="D54" s="28"/>
      <c r="E54" s="28"/>
      <c r="F54" s="28"/>
      <c r="G54" s="3"/>
    </row>
    <row r="55" spans="2:9" x14ac:dyDescent="0.2">
      <c r="B55" s="3"/>
      <c r="C55" s="26">
        <v>43983</v>
      </c>
      <c r="D55" s="28"/>
      <c r="E55" s="28"/>
      <c r="F55" s="28"/>
      <c r="G55" s="3"/>
    </row>
    <row r="56" spans="2:9" x14ac:dyDescent="0.2">
      <c r="B56" s="3"/>
      <c r="C56" s="26">
        <v>44013</v>
      </c>
      <c r="D56" s="28"/>
      <c r="E56" s="28"/>
      <c r="F56" s="28"/>
      <c r="G56" s="3"/>
    </row>
    <row r="59" spans="2:9" x14ac:dyDescent="0.2">
      <c r="B59" s="1"/>
      <c r="C59" s="73" t="s">
        <v>66</v>
      </c>
      <c r="D59" s="73"/>
      <c r="E59" s="73"/>
      <c r="F59" s="73"/>
      <c r="G59" s="73"/>
      <c r="I59" t="s">
        <v>34</v>
      </c>
    </row>
    <row r="60" spans="2:9" x14ac:dyDescent="0.2">
      <c r="B60" s="3"/>
      <c r="C60" s="3" t="s">
        <v>67</v>
      </c>
      <c r="D60" s="3"/>
      <c r="E60" s="3"/>
      <c r="F60" s="3"/>
      <c r="G60" s="3"/>
    </row>
    <row r="61" spans="2:9" ht="32" x14ac:dyDescent="0.2">
      <c r="B61" s="3"/>
      <c r="C61" s="3" t="s">
        <v>3</v>
      </c>
      <c r="D61" s="3" t="s">
        <v>56</v>
      </c>
      <c r="E61" s="5" t="s">
        <v>5</v>
      </c>
      <c r="F61" s="3" t="s">
        <v>6</v>
      </c>
      <c r="G61" s="5" t="s">
        <v>7</v>
      </c>
    </row>
    <row r="62" spans="2:9" x14ac:dyDescent="0.2">
      <c r="B62" s="3" t="s">
        <v>66</v>
      </c>
      <c r="C62" s="29">
        <v>20</v>
      </c>
      <c r="D62" s="3">
        <v>24</v>
      </c>
      <c r="E62" s="3">
        <v>0.21024000000000001</v>
      </c>
      <c r="F62" s="3">
        <v>1.60934</v>
      </c>
      <c r="G62" s="10">
        <f>E62*(D62*F62)/C62</f>
        <v>0.40601716992000003</v>
      </c>
      <c r="H62">
        <f>E62*F62</f>
        <v>0.33834764160000003</v>
      </c>
    </row>
    <row r="65" spans="2:8" x14ac:dyDescent="0.2">
      <c r="B65" s="1"/>
      <c r="C65" s="73" t="s">
        <v>68</v>
      </c>
      <c r="D65" s="73"/>
      <c r="E65" s="73"/>
      <c r="F65" s="73"/>
      <c r="G65" s="73"/>
    </row>
    <row r="66" spans="2:8" x14ac:dyDescent="0.2">
      <c r="B66" s="3"/>
      <c r="C66" s="3" t="s">
        <v>69</v>
      </c>
      <c r="D66" s="3"/>
      <c r="E66" s="3"/>
      <c r="F66" s="3"/>
      <c r="G66" s="3"/>
    </row>
    <row r="67" spans="2:8" ht="32" x14ac:dyDescent="0.2">
      <c r="B67" s="3"/>
      <c r="C67" s="3" t="s">
        <v>3</v>
      </c>
      <c r="D67" s="3" t="s">
        <v>56</v>
      </c>
      <c r="E67" s="5" t="s">
        <v>5</v>
      </c>
      <c r="F67" s="3" t="s">
        <v>6</v>
      </c>
      <c r="G67" s="5" t="s">
        <v>7</v>
      </c>
    </row>
    <row r="68" spans="2:8" x14ac:dyDescent="0.2">
      <c r="B68" s="3" t="s">
        <v>68</v>
      </c>
      <c r="C68" s="29">
        <v>6</v>
      </c>
      <c r="D68" s="3">
        <v>8</v>
      </c>
      <c r="E68" s="3">
        <v>3.508E-2</v>
      </c>
      <c r="F68" s="3">
        <v>1.60934</v>
      </c>
      <c r="G68" s="10">
        <f>E68*(D68*F68)/C68</f>
        <v>7.5274196266666663E-2</v>
      </c>
      <c r="H68">
        <f>E68*F68</f>
        <v>5.64556472E-2</v>
      </c>
    </row>
    <row r="71" spans="2:8" x14ac:dyDescent="0.2">
      <c r="B71" s="1"/>
      <c r="C71" s="73" t="s">
        <v>70</v>
      </c>
      <c r="D71" s="73"/>
      <c r="E71" s="73"/>
      <c r="F71" s="73"/>
      <c r="G71" s="73"/>
    </row>
    <row r="72" spans="2:8" x14ac:dyDescent="0.2">
      <c r="B72" s="3"/>
      <c r="C72" s="3" t="s">
        <v>71</v>
      </c>
      <c r="D72" s="3"/>
      <c r="E72" s="3"/>
      <c r="F72" s="3"/>
      <c r="G72" s="3"/>
    </row>
    <row r="73" spans="2:8" ht="32" x14ac:dyDescent="0.2">
      <c r="B73" s="3"/>
      <c r="C73" s="3" t="s">
        <v>3</v>
      </c>
      <c r="D73" s="3" t="s">
        <v>56</v>
      </c>
      <c r="E73" s="5" t="s">
        <v>5</v>
      </c>
      <c r="F73" s="3" t="s">
        <v>6</v>
      </c>
      <c r="G73" s="5" t="s">
        <v>7</v>
      </c>
    </row>
    <row r="74" spans="2:8" x14ac:dyDescent="0.2">
      <c r="B74" s="3" t="s">
        <v>70</v>
      </c>
      <c r="C74" s="29">
        <v>2.8</v>
      </c>
      <c r="D74" s="3">
        <v>2.9</v>
      </c>
      <c r="E74" s="3">
        <v>3.0839999999999999E-2</v>
      </c>
      <c r="F74" s="3">
        <v>1.60934</v>
      </c>
      <c r="G74" s="10">
        <f>E74*(D74*F74)/C74</f>
        <v>5.1404618657142853E-2</v>
      </c>
      <c r="H74">
        <f>E74*F74</f>
        <v>4.9632045600000001E-2</v>
      </c>
    </row>
    <row r="77" spans="2:8" x14ac:dyDescent="0.2">
      <c r="B77" s="1"/>
      <c r="C77" s="73" t="s">
        <v>94</v>
      </c>
      <c r="D77" s="73"/>
      <c r="E77" s="73"/>
      <c r="F77" s="73"/>
      <c r="G77" s="73"/>
    </row>
    <row r="78" spans="2:8" x14ac:dyDescent="0.2">
      <c r="B78" s="3"/>
      <c r="C78" s="3" t="s">
        <v>95</v>
      </c>
      <c r="D78" s="3"/>
      <c r="E78" s="3"/>
      <c r="F78" s="3"/>
      <c r="G78" s="3"/>
    </row>
    <row r="79" spans="2:8" ht="32" x14ac:dyDescent="0.2">
      <c r="B79" s="3"/>
      <c r="C79" s="3" t="s">
        <v>3</v>
      </c>
      <c r="D79" s="3" t="s">
        <v>56</v>
      </c>
      <c r="E79" s="5" t="s">
        <v>5</v>
      </c>
      <c r="F79" s="3" t="s">
        <v>6</v>
      </c>
      <c r="G79" s="5" t="s">
        <v>7</v>
      </c>
    </row>
    <row r="80" spans="2:8" x14ac:dyDescent="0.2">
      <c r="B80" s="3" t="s">
        <v>96</v>
      </c>
      <c r="C80" s="29">
        <v>50</v>
      </c>
      <c r="D80" s="3">
        <v>98.4</v>
      </c>
      <c r="E80" s="3">
        <v>1.874E-2</v>
      </c>
      <c r="F80" s="3">
        <v>1.60934</v>
      </c>
      <c r="G80" s="10">
        <f>E80*(D80*F80)/C80</f>
        <v>5.9352974188800006E-2</v>
      </c>
      <c r="H80">
        <f>E80*F18</f>
        <v>3.01590316E-2</v>
      </c>
    </row>
    <row r="81" spans="2:8" x14ac:dyDescent="0.2">
      <c r="B81" s="3" t="s">
        <v>97</v>
      </c>
      <c r="C81" s="29">
        <v>83</v>
      </c>
      <c r="D81" s="3">
        <v>98.4</v>
      </c>
      <c r="E81" s="3">
        <v>0.12952</v>
      </c>
      <c r="F81" s="3">
        <v>1.60934</v>
      </c>
      <c r="G81" s="10">
        <f t="shared" ref="G81:G82" si="2">E81*(D81*F81)/C81</f>
        <v>0.24711644497734941</v>
      </c>
      <c r="H81">
        <f>E81*F18</f>
        <v>0.20844171679999998</v>
      </c>
    </row>
    <row r="82" spans="2:8" x14ac:dyDescent="0.2">
      <c r="B82" s="3" t="s">
        <v>98</v>
      </c>
      <c r="C82" s="29">
        <f>(C80+C81)/2</f>
        <v>66.5</v>
      </c>
      <c r="D82" s="3">
        <v>98.4</v>
      </c>
      <c r="E82" s="3">
        <v>0.11286</v>
      </c>
      <c r="F82" s="3">
        <v>1.60934</v>
      </c>
      <c r="G82" s="10">
        <f t="shared" si="2"/>
        <v>0.26875794075428572</v>
      </c>
      <c r="H82">
        <f>E82*F18</f>
        <v>0.18163011240000002</v>
      </c>
    </row>
  </sheetData>
  <sheetProtection sheet="1" objects="1" scenarios="1"/>
  <mergeCells count="12">
    <mergeCell ref="C77:G77"/>
    <mergeCell ref="K23:N23"/>
    <mergeCell ref="C33:G33"/>
    <mergeCell ref="C39:G39"/>
    <mergeCell ref="C59:G59"/>
    <mergeCell ref="C65:G65"/>
    <mergeCell ref="C27:G27"/>
    <mergeCell ref="C2:G2"/>
    <mergeCell ref="C8:G8"/>
    <mergeCell ref="C15:G15"/>
    <mergeCell ref="C21:G21"/>
    <mergeCell ref="C71:G71"/>
  </mergeCells>
  <hyperlinks>
    <hyperlink ref="C44" r:id="rId1" xr:uid="{00000000-0004-0000-0100-000000000000}"/>
  </hyperlinks>
  <pageMargins left="0.7" right="0.7" top="0.75" bottom="0.75" header="0.3" footer="0.3"/>
  <pageSetup paperSize="9" orientation="portrait" horizontalDpi="300" verticalDpi="30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tabSelected="1" workbookViewId="0">
      <selection activeCell="E13" sqref="E13"/>
    </sheetView>
  </sheetViews>
  <sheetFormatPr baseColWidth="10" defaultColWidth="9.1640625" defaultRowHeight="15" x14ac:dyDescent="0.2"/>
  <cols>
    <col min="1" max="1" width="18.33203125" customWidth="1"/>
    <col min="2" max="3" width="24.6640625" customWidth="1"/>
    <col min="4" max="4" width="5.1640625" customWidth="1"/>
    <col min="6" max="6" width="4.83203125" customWidth="1"/>
    <col min="7" max="8" width="15.6640625" customWidth="1"/>
    <col min="10" max="10" width="9.83203125" customWidth="1"/>
  </cols>
  <sheetData>
    <row r="1" spans="1:11" ht="26" x14ac:dyDescent="0.3">
      <c r="A1" s="50" t="s">
        <v>102</v>
      </c>
    </row>
    <row r="3" spans="1:11" ht="20" thickBot="1" x14ac:dyDescent="0.3">
      <c r="A3" s="30" t="s">
        <v>72</v>
      </c>
    </row>
    <row r="4" spans="1:11" ht="33" thickBot="1" x14ac:dyDescent="0.25">
      <c r="A4" s="51" t="s">
        <v>76</v>
      </c>
      <c r="B4" s="52" t="s">
        <v>77</v>
      </c>
      <c r="C4" s="52" t="s">
        <v>78</v>
      </c>
      <c r="D4" s="53"/>
      <c r="E4" s="52" t="s">
        <v>104</v>
      </c>
      <c r="F4" s="54"/>
      <c r="G4" s="52" t="s">
        <v>88</v>
      </c>
      <c r="H4" s="55" t="s">
        <v>103</v>
      </c>
      <c r="I4" s="48"/>
      <c r="J4" s="48"/>
    </row>
    <row r="5" spans="1:11" x14ac:dyDescent="0.2">
      <c r="A5" s="56" t="s">
        <v>33</v>
      </c>
      <c r="B5" s="57"/>
      <c r="C5" s="57"/>
      <c r="D5" s="57"/>
      <c r="E5" s="57">
        <v>769.11</v>
      </c>
      <c r="F5" s="57"/>
      <c r="G5" s="58">
        <f>IF(ISNUMBER(E5),VLOOKUP(A5,'Emission Factors'!$W:$Y,2,0),"")</f>
        <v>6.6224340999999992E-2</v>
      </c>
      <c r="H5" s="59">
        <f>IF(ISNUMBER(E5),G5*E5,"")</f>
        <v>50.933802906509996</v>
      </c>
      <c r="J5" s="60"/>
      <c r="K5" s="60"/>
    </row>
    <row r="6" spans="1:11" x14ac:dyDescent="0.2">
      <c r="A6" s="61" t="s">
        <v>75</v>
      </c>
      <c r="B6" s="62"/>
      <c r="C6" s="62"/>
      <c r="D6" s="62"/>
      <c r="E6" s="62">
        <v>60</v>
      </c>
      <c r="F6" s="62"/>
      <c r="G6" s="63">
        <f>IF(ISNUMBER(E6),VLOOKUP(A6,'Emission Factors'!$W:$Y,2,0),"")</f>
        <v>0.27900999999999998</v>
      </c>
      <c r="H6" s="64">
        <f t="shared" ref="H6:H8" si="0">IF(ISNUMBER(E6),G6*E6,"")</f>
        <v>16.740600000000001</v>
      </c>
      <c r="J6" s="60"/>
      <c r="K6" s="60"/>
    </row>
    <row r="7" spans="1:11" x14ac:dyDescent="0.2">
      <c r="A7" s="61"/>
      <c r="B7" s="62"/>
      <c r="C7" s="62"/>
      <c r="D7" s="62"/>
      <c r="E7" s="62"/>
      <c r="F7" s="62"/>
      <c r="G7" s="63" t="str">
        <f>IF(ISNUMBER(E7),VLOOKUP(A7,'Emission Factors'!$W:$Y,2,0),"")</f>
        <v/>
      </c>
      <c r="H7" s="64" t="str">
        <f t="shared" si="0"/>
        <v/>
      </c>
      <c r="J7" s="60"/>
      <c r="K7" s="60"/>
    </row>
    <row r="8" spans="1:11" ht="16" thickBot="1" x14ac:dyDescent="0.25">
      <c r="A8" s="65"/>
      <c r="B8" s="66"/>
      <c r="C8" s="66"/>
      <c r="D8" s="66"/>
      <c r="E8" s="66"/>
      <c r="F8" s="66"/>
      <c r="G8" s="67" t="str">
        <f>IF(ISNUMBER(E8),VLOOKUP(A8,'Emission Factors'!$W:$Y,2,0),"")</f>
        <v/>
      </c>
      <c r="H8" s="68" t="str">
        <f t="shared" si="0"/>
        <v/>
      </c>
      <c r="J8" s="60"/>
      <c r="K8" s="60"/>
    </row>
    <row r="10" spans="1:11" ht="20" thickBot="1" x14ac:dyDescent="0.3">
      <c r="A10" s="30" t="s">
        <v>73</v>
      </c>
    </row>
    <row r="11" spans="1:11" ht="33" thickBot="1" x14ac:dyDescent="0.25">
      <c r="A11" s="51" t="s">
        <v>76</v>
      </c>
      <c r="B11" s="52" t="s">
        <v>77</v>
      </c>
      <c r="C11" s="52" t="s">
        <v>78</v>
      </c>
      <c r="D11" s="53"/>
      <c r="E11" s="52" t="s">
        <v>104</v>
      </c>
      <c r="F11" s="54"/>
      <c r="G11" s="52" t="s">
        <v>88</v>
      </c>
      <c r="H11" s="55" t="s">
        <v>103</v>
      </c>
    </row>
    <row r="12" spans="1:11" x14ac:dyDescent="0.2">
      <c r="A12" s="56" t="s">
        <v>81</v>
      </c>
      <c r="B12" s="57"/>
      <c r="C12" s="57"/>
      <c r="D12" s="57"/>
      <c r="E12" s="57">
        <v>21000</v>
      </c>
      <c r="F12" s="57"/>
      <c r="G12" s="58">
        <f>IF(ISNUMBER(E12),VLOOKUP(A12,'Emission Factors'!$T:$U,2,0),"")</f>
        <v>0.2410952254</v>
      </c>
      <c r="H12" s="59">
        <f>IF(ISNUMBER(E12),G12*E12,"")</f>
        <v>5062.9997334</v>
      </c>
    </row>
    <row r="13" spans="1:11" x14ac:dyDescent="0.2">
      <c r="A13" s="61"/>
      <c r="B13" s="62"/>
      <c r="C13" s="62"/>
      <c r="D13" s="62"/>
      <c r="E13" s="62"/>
      <c r="F13" s="62"/>
      <c r="G13" s="63" t="str">
        <f>IF(ISNUMBER(E13),VLOOKUP(A13,'Emission Factors'!$T:$U,2,0),"")</f>
        <v/>
      </c>
      <c r="H13" s="64" t="str">
        <f t="shared" ref="H13:H15" si="1">IF(ISNUMBER(E13),G13*E13,"")</f>
        <v/>
      </c>
    </row>
    <row r="14" spans="1:11" x14ac:dyDescent="0.2">
      <c r="A14" s="61"/>
      <c r="B14" s="62"/>
      <c r="C14" s="62"/>
      <c r="D14" s="62"/>
      <c r="E14" s="62"/>
      <c r="F14" s="62"/>
      <c r="G14" s="63" t="str">
        <f>IF(ISNUMBER(E14),VLOOKUP(A14,'Emission Factors'!$T:$U,2,0),"")</f>
        <v/>
      </c>
      <c r="H14" s="64" t="str">
        <f t="shared" si="1"/>
        <v/>
      </c>
    </row>
    <row r="15" spans="1:11" ht="16" thickBot="1" x14ac:dyDescent="0.25">
      <c r="A15" s="65"/>
      <c r="B15" s="66"/>
      <c r="C15" s="66"/>
      <c r="D15" s="66"/>
      <c r="E15" s="66"/>
      <c r="F15" s="66"/>
      <c r="G15" s="67" t="str">
        <f>IF(ISNUMBER(E15),VLOOKUP(A15,'Emission Factors'!$T:$U,2,0),"")</f>
        <v/>
      </c>
      <c r="H15" s="68" t="str">
        <f t="shared" si="1"/>
        <v/>
      </c>
    </row>
    <row r="17" spans="1:8" ht="20" thickBot="1" x14ac:dyDescent="0.3">
      <c r="A17" s="30" t="s">
        <v>74</v>
      </c>
    </row>
    <row r="18" spans="1:8" ht="33" thickBot="1" x14ac:dyDescent="0.25">
      <c r="A18" s="51" t="s">
        <v>76</v>
      </c>
      <c r="B18" s="52" t="s">
        <v>77</v>
      </c>
      <c r="C18" s="52" t="s">
        <v>78</v>
      </c>
      <c r="D18" s="53"/>
      <c r="E18" s="52" t="s">
        <v>104</v>
      </c>
      <c r="F18" s="54"/>
      <c r="G18" s="52" t="s">
        <v>88</v>
      </c>
      <c r="H18" s="55" t="s">
        <v>103</v>
      </c>
    </row>
    <row r="19" spans="1:8" x14ac:dyDescent="0.2">
      <c r="A19" s="56" t="s">
        <v>99</v>
      </c>
      <c r="B19" s="57"/>
      <c r="C19" s="57"/>
      <c r="D19" s="57"/>
      <c r="E19" s="57">
        <v>50</v>
      </c>
      <c r="F19" s="57"/>
      <c r="G19" s="58">
        <f>IF(ISNUMBER(E19),VLOOKUP(A19,'Emission Factors'!$AA:$AC,2,0),"")</f>
        <v>3.01590316E-2</v>
      </c>
      <c r="H19" s="59">
        <f>IF(ISNUMBER(E19),G19*E19,"")</f>
        <v>1.5079515800000001</v>
      </c>
    </row>
    <row r="20" spans="1:8" x14ac:dyDescent="0.2">
      <c r="A20" s="61"/>
      <c r="B20" s="62"/>
      <c r="C20" s="62"/>
      <c r="D20" s="62"/>
      <c r="E20" s="62"/>
      <c r="F20" s="62"/>
      <c r="G20" s="63" t="str">
        <f>IF(ISNUMBER(E20),VLOOKUP(A20,'Emission Factors'!$AA:$AC,2,0),"")</f>
        <v/>
      </c>
      <c r="H20" s="64" t="str">
        <f t="shared" ref="H20:H22" si="2">IF(ISNUMBER(E20),G20*E20,"")</f>
        <v/>
      </c>
    </row>
    <row r="21" spans="1:8" x14ac:dyDescent="0.2">
      <c r="A21" s="61"/>
      <c r="B21" s="62"/>
      <c r="C21" s="62"/>
      <c r="D21" s="62"/>
      <c r="E21" s="62"/>
      <c r="F21" s="62"/>
      <c r="G21" s="63" t="str">
        <f>IF(ISNUMBER(E21),VLOOKUP(A21,'Emission Factors'!$AA:$AC,2,0),"")</f>
        <v/>
      </c>
      <c r="H21" s="64" t="str">
        <f t="shared" si="2"/>
        <v/>
      </c>
    </row>
    <row r="22" spans="1:8" ht="16" thickBot="1" x14ac:dyDescent="0.25">
      <c r="A22" s="65"/>
      <c r="B22" s="66"/>
      <c r="C22" s="66"/>
      <c r="D22" s="66"/>
      <c r="E22" s="66"/>
      <c r="F22" s="66"/>
      <c r="G22" s="67" t="str">
        <f>IF(ISNUMBER(E22),VLOOKUP(A22,'Emission Factors'!$AA:$AC,2,0),"")</f>
        <v/>
      </c>
      <c r="H22" s="68" t="str">
        <f t="shared" si="2"/>
        <v/>
      </c>
    </row>
    <row r="24" spans="1:8" x14ac:dyDescent="0.2">
      <c r="A24" s="69" t="s">
        <v>86</v>
      </c>
    </row>
  </sheetData>
  <dataValidations count="4">
    <dataValidation type="list" allowBlank="1" showInputMessage="1" showErrorMessage="1" sqref="A5:A8" xr:uid="{00000000-0002-0000-0200-000000000000}">
      <formula1>"Car,Taxi,Bus,Coach,Rail,Underground,Eurostar,Tram"</formula1>
    </dataValidation>
    <dataValidation type="list" allowBlank="1" showInputMessage="1" showErrorMessage="1" sqref="A12:A15" xr:uid="{00000000-0002-0000-0200-000001000000}">
      <formula1>"Domestic,Europe Economy,Europe Business,International Economy,International Premium Economy,International Business Class, International First Class"</formula1>
    </dataValidation>
    <dataValidation type="list" allowBlank="1" showInputMessage="1" showErrorMessage="1" sqref="A19:A22" xr:uid="{00000000-0002-0000-0200-000002000000}">
      <formula1>"Ferry - foot passenger, Ferry- car passenger"</formula1>
    </dataValidation>
    <dataValidation type="list" allowBlank="1" showInputMessage="1" showErrorMessage="1" sqref="C9" xr:uid="{00000000-0002-0000-0200-000003000000}">
      <formula1>"Economy,Business,First"</formula1>
    </dataValidation>
  </dataValidations>
  <hyperlinks>
    <hyperlink ref="A24" r:id="rId1" xr:uid="{00000000-0004-0000-0200-000000000000}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Emission Factors</vt:lpstr>
      <vt:lpstr>Calculation Sheet</vt:lpstr>
    </vt:vector>
  </TitlesOfParts>
  <Company>University of Reading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Andrew Charlton-Perez</cp:lastModifiedBy>
  <dcterms:created xsi:type="dcterms:W3CDTF">2019-10-24T12:40:33Z</dcterms:created>
  <dcterms:modified xsi:type="dcterms:W3CDTF">2023-07-13T13:30:12Z</dcterms:modified>
</cp:coreProperties>
</file>